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a Mohaseen\Desktop\"/>
    </mc:Choice>
  </mc:AlternateContent>
  <xr:revisionPtr revIDLastSave="0" documentId="13_ncr:1_{E01F3AC4-6902-4D87-8130-7196A73B6A9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Const Yield- At Par" sheetId="14" r:id="rId1"/>
    <sheet name="Const Yield- At Discount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4" l="1"/>
  <c r="B46" i="14"/>
  <c r="D46" i="14" s="1"/>
  <c r="F46" i="14" s="1"/>
  <c r="G46" i="14" s="1"/>
  <c r="I45" i="14"/>
  <c r="E45" i="14"/>
  <c r="E44" i="14"/>
  <c r="B44" i="14"/>
  <c r="B45" i="14" s="1"/>
  <c r="D45" i="14" s="1"/>
  <c r="F45" i="14" s="1"/>
  <c r="B35" i="14"/>
  <c r="E35" i="14"/>
  <c r="E36" i="14"/>
  <c r="B37" i="14"/>
  <c r="D37" i="14" s="1"/>
  <c r="F37" i="14" s="1"/>
  <c r="E37" i="14"/>
  <c r="B29" i="14"/>
  <c r="A29" i="14"/>
  <c r="A27" i="14"/>
  <c r="C27" i="14" s="1"/>
  <c r="D27" i="14" s="1"/>
  <c r="A26" i="14"/>
  <c r="D23" i="14"/>
  <c r="B16" i="14"/>
  <c r="I36" i="14" s="1"/>
  <c r="C29" i="14" l="1"/>
  <c r="D29" i="14" s="1"/>
  <c r="B27" i="14"/>
  <c r="E27" i="14" s="1"/>
  <c r="A28" i="14"/>
  <c r="B28" i="14" s="1"/>
  <c r="G37" i="14"/>
  <c r="B36" i="14"/>
  <c r="G45" i="14"/>
  <c r="D44" i="14"/>
  <c r="F44" i="14" s="1"/>
  <c r="G44" i="14" s="1"/>
  <c r="D35" i="14"/>
  <c r="F35" i="14" s="1"/>
  <c r="G35" i="14" s="1"/>
  <c r="E29" i="14"/>
  <c r="B18" i="14"/>
  <c r="B17" i="14" s="1"/>
  <c r="B19" i="14"/>
  <c r="C44" i="14" s="1"/>
  <c r="C45" i="14" l="1"/>
  <c r="C28" i="14"/>
  <c r="D28" i="14" s="1"/>
  <c r="E28" i="14" s="1"/>
  <c r="E23" i="14" s="1"/>
  <c r="B20" i="14" s="1"/>
  <c r="C36" i="14"/>
  <c r="D36" i="14"/>
  <c r="F36" i="14" s="1"/>
  <c r="G36" i="14" s="1"/>
  <c r="H36" i="14" s="1"/>
  <c r="D39" i="14"/>
  <c r="D48" i="14" s="1"/>
  <c r="C46" i="14"/>
  <c r="H46" i="14" s="1"/>
  <c r="C37" i="14"/>
  <c r="H37" i="14" s="1"/>
  <c r="C35" i="14"/>
  <c r="H35" i="14" s="1"/>
  <c r="J36" i="14" s="1"/>
  <c r="H45" i="14"/>
  <c r="H44" i="14"/>
  <c r="B26" i="14"/>
  <c r="B23" i="14" s="1"/>
  <c r="D38" i="14" l="1"/>
  <c r="F38" i="14" s="1"/>
  <c r="J45" i="14"/>
  <c r="D47" i="14"/>
  <c r="F47" i="14" s="1"/>
  <c r="E46" i="15" l="1"/>
  <c r="B46" i="15"/>
  <c r="D46" i="15" s="1"/>
  <c r="E45" i="15"/>
  <c r="E44" i="15"/>
  <c r="B44" i="15"/>
  <c r="D44" i="15" s="1"/>
  <c r="F46" i="15" l="1"/>
  <c r="G46" i="15" s="1"/>
  <c r="F44" i="15"/>
  <c r="G44" i="15" s="1"/>
  <c r="B45" i="15"/>
  <c r="D45" i="15" l="1"/>
  <c r="F45" i="15" s="1"/>
  <c r="G45" i="15" s="1"/>
  <c r="E37" i="15"/>
  <c r="B37" i="15"/>
  <c r="D37" i="15" s="1"/>
  <c r="F37" i="15" s="1"/>
  <c r="E36" i="15"/>
  <c r="E35" i="15"/>
  <c r="B35" i="15"/>
  <c r="B36" i="15" s="1"/>
  <c r="D36" i="15" s="1"/>
  <c r="F36" i="15" s="1"/>
  <c r="A29" i="15"/>
  <c r="A27" i="15"/>
  <c r="A28" i="15" s="1"/>
  <c r="A26" i="15"/>
  <c r="D23" i="15"/>
  <c r="B16" i="15"/>
  <c r="B18" i="15" s="1"/>
  <c r="G36" i="15" l="1"/>
  <c r="I45" i="15"/>
  <c r="I36" i="15"/>
  <c r="D39" i="15" s="1"/>
  <c r="B27" i="15"/>
  <c r="C27" i="15"/>
  <c r="D27" i="15" s="1"/>
  <c r="D35" i="15"/>
  <c r="F35" i="15" s="1"/>
  <c r="G35" i="15" s="1"/>
  <c r="G37" i="15"/>
  <c r="C28" i="15"/>
  <c r="D28" i="15" s="1"/>
  <c r="B17" i="15"/>
  <c r="C29" i="15"/>
  <c r="D29" i="15" s="1"/>
  <c r="B19" i="15"/>
  <c r="B28" i="15"/>
  <c r="B29" i="15"/>
  <c r="D48" i="15" l="1"/>
  <c r="B26" i="15"/>
  <c r="E28" i="15"/>
  <c r="C46" i="15"/>
  <c r="H46" i="15" s="1"/>
  <c r="C44" i="15"/>
  <c r="H44" i="15" s="1"/>
  <c r="C45" i="15"/>
  <c r="H45" i="15" s="1"/>
  <c r="E27" i="15"/>
  <c r="E23" i="15" s="1"/>
  <c r="B20" i="15" s="1"/>
  <c r="C36" i="15"/>
  <c r="H36" i="15" s="1"/>
  <c r="C37" i="15"/>
  <c r="H37" i="15" s="1"/>
  <c r="C35" i="15"/>
  <c r="H35" i="15" s="1"/>
  <c r="E29" i="15"/>
  <c r="J45" i="15" l="1"/>
  <c r="J36" i="15"/>
  <c r="D38" i="15" l="1"/>
  <c r="D47" i="15"/>
  <c r="B23" i="15"/>
  <c r="F38" i="15" l="1"/>
  <c r="F47" i="15" s="1"/>
</calcChain>
</file>

<file path=xl/sharedStrings.xml><?xml version="1.0" encoding="utf-8"?>
<sst xmlns="http://schemas.openxmlformats.org/spreadsheetml/2006/main" count="118" uniqueCount="44">
  <si>
    <t xml:space="preserve">Bond  Details </t>
  </si>
  <si>
    <t>Security Code</t>
  </si>
  <si>
    <t>Face Value</t>
  </si>
  <si>
    <t>Bond Issue Date</t>
  </si>
  <si>
    <t>Redemption Date</t>
  </si>
  <si>
    <t>Redemption Price</t>
  </si>
  <si>
    <t>Reinvestment Period</t>
  </si>
  <si>
    <t>Coupon Start Date</t>
  </si>
  <si>
    <t>LCD</t>
  </si>
  <si>
    <t>Coupon Frequency</t>
  </si>
  <si>
    <t xml:space="preserve">Buy Deal Details </t>
  </si>
  <si>
    <t>Input Price</t>
  </si>
  <si>
    <t>Units of bond</t>
  </si>
  <si>
    <t>Date of transaction(DSTL)</t>
  </si>
  <si>
    <t>IRR</t>
  </si>
  <si>
    <t>Date</t>
  </si>
  <si>
    <t>Semiannually</t>
  </si>
  <si>
    <t>Days Factor (30 EUR/360)</t>
  </si>
  <si>
    <t>FLEXCUBE Yield</t>
  </si>
  <si>
    <t>FLEXCUBE Yield %</t>
  </si>
  <si>
    <t>Excel XIRR</t>
  </si>
  <si>
    <t>No Of Days (30 EUR/360)</t>
  </si>
  <si>
    <t>Accrual To Date</t>
  </si>
  <si>
    <t>System Date</t>
  </si>
  <si>
    <t>Cash Flows</t>
  </si>
  <si>
    <t>Discounted Cash Flows</t>
  </si>
  <si>
    <t>Days (coupon date- accrual date)</t>
  </si>
  <si>
    <t>(1+Yield%)</t>
  </si>
  <si>
    <t>Days Factor [ Days / 360]</t>
  </si>
  <si>
    <t>(1+Yield%)^(Days Factor)</t>
  </si>
  <si>
    <t>Discounted Cash Flows [Cash Flow / [(1+Yield%)^(Days/360)]</t>
  </si>
  <si>
    <t>Deal Nominal Amount</t>
  </si>
  <si>
    <t>Coupon Rate</t>
  </si>
  <si>
    <t>Total IACR Till Accrual Date</t>
  </si>
  <si>
    <t>Interest Purchased</t>
  </si>
  <si>
    <t>Closing Position Balance</t>
  </si>
  <si>
    <t>Net PV - IACR</t>
  </si>
  <si>
    <t>Daily Interest Accrued</t>
  </si>
  <si>
    <t>Closing Discount To Be Accrd.</t>
  </si>
  <si>
    <t>Deal Discount</t>
  </si>
  <si>
    <t>Daily Yield Accrual (Discount)</t>
  </si>
  <si>
    <t>NPV</t>
  </si>
  <si>
    <t>Net PV after adding up all the discounted cash flows computed with Yield % should be equal to sum invested</t>
  </si>
  <si>
    <t>NPV - Interest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</si>
</sst>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d\-mmm\-yyyy"/>
    <numFmt numFmtId="166" formatCode="[$-409]d\-mmm\-yy;@"/>
    <numFmt numFmtId="167" formatCode="_-* #,##0\ _z_ł_-;\-* #,##0\ _z_ł_-;_-* &quot;-&quot;??\ _z_ł_-;_-@_-"/>
    <numFmt numFmtId="168" formatCode="0.00000000"/>
    <numFmt numFmtId="169" formatCode="0.0000000000"/>
    <numFmt numFmtId="170" formatCode="0.00000000000000"/>
    <numFmt numFmtId="171" formatCode="0.000000000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2" xfId="2" applyFont="1" applyBorder="1"/>
    <xf numFmtId="0" fontId="2" fillId="0" borderId="0" xfId="2" applyFont="1"/>
    <xf numFmtId="0" fontId="2" fillId="0" borderId="2" xfId="2" applyFont="1" applyBorder="1"/>
    <xf numFmtId="15" fontId="3" fillId="0" borderId="2" xfId="2" applyNumberFormat="1" applyFont="1" applyBorder="1"/>
    <xf numFmtId="0" fontId="2" fillId="3" borderId="2" xfId="2" applyFont="1" applyFill="1" applyBorder="1"/>
    <xf numFmtId="2" fontId="2" fillId="3" borderId="2" xfId="2" applyNumberFormat="1" applyFont="1" applyFill="1" applyBorder="1"/>
    <xf numFmtId="0" fontId="1" fillId="0" borderId="0" xfId="2" applyFont="1"/>
    <xf numFmtId="14" fontId="1" fillId="0" borderId="0" xfId="2" applyNumberFormat="1" applyFont="1"/>
    <xf numFmtId="4" fontId="1" fillId="0" borderId="0" xfId="2" applyNumberFormat="1" applyFont="1"/>
    <xf numFmtId="166" fontId="1" fillId="0" borderId="0" xfId="2" applyNumberFormat="1" applyFont="1" applyBorder="1" applyAlignment="1">
      <alignment horizontal="left"/>
    </xf>
    <xf numFmtId="167" fontId="1" fillId="0" borderId="0" xfId="2" applyNumberFormat="1" applyFont="1"/>
    <xf numFmtId="0" fontId="1" fillId="0" borderId="1" xfId="2" applyFont="1" applyFill="1" applyBorder="1"/>
    <xf numFmtId="0" fontId="1" fillId="0" borderId="0" xfId="2" applyNumberFormat="1" applyFont="1"/>
    <xf numFmtId="2" fontId="1" fillId="0" borderId="0" xfId="2" applyNumberFormat="1" applyFont="1"/>
    <xf numFmtId="0" fontId="1" fillId="0" borderId="0" xfId="2" applyFont="1" applyAlignment="1">
      <alignment wrapText="1"/>
    </xf>
    <xf numFmtId="0" fontId="1" fillId="0" borderId="2" xfId="2" applyFont="1" applyBorder="1"/>
    <xf numFmtId="0" fontId="1" fillId="2" borderId="2" xfId="2" applyFont="1" applyFill="1" applyBorder="1"/>
    <xf numFmtId="168" fontId="1" fillId="2" borderId="2" xfId="2" applyNumberFormat="1" applyFont="1" applyFill="1" applyBorder="1"/>
    <xf numFmtId="169" fontId="1" fillId="0" borderId="2" xfId="2" applyNumberFormat="1" applyFont="1" applyBorder="1"/>
    <xf numFmtId="0" fontId="1" fillId="0" borderId="3" xfId="2" applyFont="1" applyBorder="1"/>
    <xf numFmtId="0" fontId="1" fillId="0" borderId="0" xfId="2" applyFont="1" applyBorder="1"/>
    <xf numFmtId="168" fontId="1" fillId="0" borderId="0" xfId="2" applyNumberFormat="1" applyFont="1"/>
    <xf numFmtId="166" fontId="1" fillId="0" borderId="2" xfId="2" applyNumberFormat="1" applyFont="1" applyBorder="1" applyAlignment="1">
      <alignment horizontal="left"/>
    </xf>
    <xf numFmtId="4" fontId="1" fillId="0" borderId="2" xfId="2" applyNumberFormat="1" applyFont="1" applyBorder="1"/>
    <xf numFmtId="2" fontId="1" fillId="0" borderId="2" xfId="2" applyNumberFormat="1" applyFont="1" applyBorder="1"/>
    <xf numFmtId="2" fontId="1" fillId="0" borderId="0" xfId="2" applyNumberFormat="1" applyFont="1" applyBorder="1"/>
    <xf numFmtId="0" fontId="1" fillId="0" borderId="0" xfId="2" applyNumberFormat="1" applyFont="1" applyBorder="1" applyAlignment="1">
      <alignment horizontal="left"/>
    </xf>
    <xf numFmtId="1" fontId="1" fillId="0" borderId="2" xfId="2" applyNumberFormat="1" applyFont="1" applyBorder="1"/>
    <xf numFmtId="168" fontId="1" fillId="0" borderId="2" xfId="2" applyNumberFormat="1" applyFont="1" applyBorder="1"/>
    <xf numFmtId="170" fontId="1" fillId="0" borderId="2" xfId="2" applyNumberFormat="1" applyFont="1" applyBorder="1"/>
    <xf numFmtId="171" fontId="1" fillId="0" borderId="2" xfId="2" applyNumberFormat="1" applyFont="1" applyBorder="1"/>
    <xf numFmtId="2" fontId="1" fillId="4" borderId="2" xfId="2" applyNumberFormat="1" applyFont="1" applyFill="1" applyBorder="1"/>
    <xf numFmtId="0" fontId="1" fillId="4" borderId="2" xfId="2" applyFont="1" applyFill="1" applyBorder="1"/>
    <xf numFmtId="0" fontId="1" fillId="0" borderId="2" xfId="2" applyFont="1" applyBorder="1" applyAlignment="1">
      <alignment wrapText="1"/>
    </xf>
    <xf numFmtId="15" fontId="2" fillId="0" borderId="2" xfId="2" applyNumberFormat="1" applyFont="1" applyBorder="1"/>
    <xf numFmtId="14" fontId="1" fillId="0" borderId="2" xfId="2" applyNumberFormat="1" applyFont="1" applyBorder="1"/>
    <xf numFmtId="0" fontId="1" fillId="0" borderId="2" xfId="2" applyFont="1" applyBorder="1" applyAlignment="1">
      <alignment horizontal="left"/>
    </xf>
    <xf numFmtId="165" fontId="1" fillId="0" borderId="2" xfId="2" applyNumberFormat="1" applyFont="1" applyBorder="1" applyAlignment="1">
      <alignment horizontal="left"/>
    </xf>
    <xf numFmtId="10" fontId="1" fillId="0" borderId="2" xfId="2" applyNumberFormat="1" applyFont="1" applyBorder="1" applyAlignment="1">
      <alignment horizontal="left"/>
    </xf>
    <xf numFmtId="0" fontId="1" fillId="0" borderId="2" xfId="2" applyFont="1" applyFill="1" applyBorder="1"/>
    <xf numFmtId="14" fontId="2" fillId="0" borderId="2" xfId="2" applyNumberFormat="1" applyFont="1" applyBorder="1"/>
    <xf numFmtId="0" fontId="2" fillId="0" borderId="2" xfId="2" applyFont="1" applyFill="1" applyBorder="1" applyAlignment="1">
      <alignment wrapText="1"/>
    </xf>
    <xf numFmtId="0" fontId="1" fillId="0" borderId="10" xfId="2" applyFont="1" applyFill="1" applyBorder="1"/>
    <xf numFmtId="4" fontId="1" fillId="0" borderId="0" xfId="2" applyNumberFormat="1" applyFont="1" applyBorder="1"/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136375</xdr:rowOff>
    </xdr:from>
    <xdr:to>
      <xdr:col>5</xdr:col>
      <xdr:colOff>85148</xdr:colOff>
      <xdr:row>3</xdr:row>
      <xdr:rowOff>104667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680" y="136375"/>
          <a:ext cx="3666548" cy="47121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136375</xdr:rowOff>
    </xdr:from>
    <xdr:to>
      <xdr:col>5</xdr:col>
      <xdr:colOff>85148</xdr:colOff>
      <xdr:row>3</xdr:row>
      <xdr:rowOff>104667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680" y="136375"/>
          <a:ext cx="3666548" cy="471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136375</xdr:rowOff>
    </xdr:from>
    <xdr:to>
      <xdr:col>5</xdr:col>
      <xdr:colOff>85148</xdr:colOff>
      <xdr:row>3</xdr:row>
      <xdr:rowOff>104667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9680" y="136375"/>
          <a:ext cx="3552248" cy="516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opLeftCell="A41" workbookViewId="0">
      <selection activeCell="A51" sqref="A51:XFD74"/>
    </sheetView>
  </sheetViews>
  <sheetFormatPr defaultColWidth="9.1796875" defaultRowHeight="12.5" x14ac:dyDescent="0.25"/>
  <cols>
    <col min="1" max="1" width="22.54296875" style="7" bestFit="1" customWidth="1"/>
    <col min="2" max="2" width="17.81640625" style="7" bestFit="1" customWidth="1"/>
    <col min="3" max="3" width="33.453125" style="7" bestFit="1" customWidth="1"/>
    <col min="4" max="4" width="24" style="7" bestFit="1" customWidth="1"/>
    <col min="5" max="5" width="28.1796875" style="7" bestFit="1" customWidth="1"/>
    <col min="6" max="6" width="12" style="7" bestFit="1" customWidth="1"/>
    <col min="7" max="7" width="22.36328125" style="7" bestFit="1" customWidth="1"/>
    <col min="8" max="8" width="16.6328125" style="7" bestFit="1" customWidth="1"/>
    <col min="9" max="9" width="9.90625" style="7" bestFit="1" customWidth="1"/>
    <col min="10" max="10" width="11.54296875" style="7" bestFit="1" customWidth="1"/>
    <col min="11" max="11" width="11" style="7" bestFit="1" customWidth="1"/>
    <col min="12" max="16384" width="9.1796875" style="7"/>
  </cols>
  <sheetData>
    <row r="1" spans="1:10" ht="13" x14ac:dyDescent="0.3">
      <c r="A1" s="3" t="s">
        <v>0</v>
      </c>
      <c r="B1" s="16"/>
    </row>
    <row r="2" spans="1:10" x14ac:dyDescent="0.25">
      <c r="A2" s="16" t="s">
        <v>1</v>
      </c>
      <c r="B2" s="37"/>
    </row>
    <row r="3" spans="1:10" x14ac:dyDescent="0.25">
      <c r="A3" s="16" t="s">
        <v>2</v>
      </c>
      <c r="B3" s="37">
        <v>1000</v>
      </c>
    </row>
    <row r="4" spans="1:10" x14ac:dyDescent="0.25">
      <c r="A4" s="16" t="s">
        <v>3</v>
      </c>
      <c r="B4" s="38">
        <v>41846</v>
      </c>
    </row>
    <row r="5" spans="1:10" x14ac:dyDescent="0.25">
      <c r="A5" s="16" t="s">
        <v>4</v>
      </c>
      <c r="B5" s="38">
        <v>42211</v>
      </c>
    </row>
    <row r="6" spans="1:10" x14ac:dyDescent="0.25">
      <c r="A6" s="16" t="s">
        <v>5</v>
      </c>
      <c r="B6" s="37">
        <v>1000</v>
      </c>
    </row>
    <row r="7" spans="1:10" x14ac:dyDescent="0.25">
      <c r="A7" s="16" t="s">
        <v>6</v>
      </c>
      <c r="B7" s="37">
        <v>360</v>
      </c>
    </row>
    <row r="8" spans="1:10" x14ac:dyDescent="0.25">
      <c r="A8" s="16" t="s">
        <v>7</v>
      </c>
      <c r="B8" s="38">
        <v>41846</v>
      </c>
    </row>
    <row r="9" spans="1:10" x14ac:dyDescent="0.25">
      <c r="A9" s="34" t="s">
        <v>32</v>
      </c>
      <c r="B9" s="39">
        <v>0.1</v>
      </c>
    </row>
    <row r="10" spans="1:10" x14ac:dyDescent="0.25">
      <c r="A10" s="36" t="s">
        <v>8</v>
      </c>
      <c r="B10" s="38"/>
    </row>
    <row r="11" spans="1:10" x14ac:dyDescent="0.25">
      <c r="A11" s="16" t="s">
        <v>9</v>
      </c>
      <c r="B11" s="37" t="s">
        <v>16</v>
      </c>
    </row>
    <row r="12" spans="1:10" ht="13" x14ac:dyDescent="0.3">
      <c r="A12" s="2" t="s">
        <v>10</v>
      </c>
      <c r="F12" s="8"/>
      <c r="G12" s="8"/>
    </row>
    <row r="13" spans="1:10" x14ac:dyDescent="0.25">
      <c r="A13" s="34" t="s">
        <v>11</v>
      </c>
      <c r="B13" s="24">
        <v>1000</v>
      </c>
      <c r="D13" s="9"/>
    </row>
    <row r="14" spans="1:10" x14ac:dyDescent="0.25">
      <c r="A14" s="16" t="s">
        <v>12</v>
      </c>
      <c r="B14" s="24">
        <v>1000</v>
      </c>
    </row>
    <row r="15" spans="1:10" ht="13" x14ac:dyDescent="0.3">
      <c r="A15" s="16" t="s">
        <v>13</v>
      </c>
      <c r="B15" s="35">
        <v>41846</v>
      </c>
      <c r="I15" s="10"/>
    </row>
    <row r="16" spans="1:10" ht="13" x14ac:dyDescent="0.3">
      <c r="A16" s="3" t="s">
        <v>31</v>
      </c>
      <c r="B16" s="24">
        <f>B14*$B$3</f>
        <v>1000000</v>
      </c>
      <c r="C16" s="9"/>
      <c r="I16" s="10"/>
      <c r="J16" s="11"/>
    </row>
    <row r="17" spans="1:11" ht="13" x14ac:dyDescent="0.3">
      <c r="A17" s="3" t="s">
        <v>39</v>
      </c>
      <c r="B17" s="24">
        <f>B16-(B14*B13-B18)</f>
        <v>0</v>
      </c>
      <c r="I17" s="10"/>
      <c r="J17" s="11"/>
    </row>
    <row r="18" spans="1:11" ht="13" x14ac:dyDescent="0.3">
      <c r="A18" s="41" t="s">
        <v>34</v>
      </c>
      <c r="B18" s="24">
        <f>B16*$B$9*(DAYS360($B$8,B15,TRUE))/360</f>
        <v>0</v>
      </c>
      <c r="I18" s="10"/>
      <c r="J18" s="11"/>
    </row>
    <row r="19" spans="1:11" x14ac:dyDescent="0.25">
      <c r="A19" s="40" t="s">
        <v>35</v>
      </c>
      <c r="B19" s="24">
        <f>B16</f>
        <v>1000000</v>
      </c>
      <c r="I19" s="10"/>
      <c r="J19" s="11"/>
    </row>
    <row r="20" spans="1:11" x14ac:dyDescent="0.25">
      <c r="A20" s="40" t="s">
        <v>43</v>
      </c>
      <c r="B20" s="24">
        <f>E23-B18</f>
        <v>1000000</v>
      </c>
      <c r="I20" s="10"/>
      <c r="J20" s="11"/>
    </row>
    <row r="21" spans="1:11" x14ac:dyDescent="0.25">
      <c r="A21" s="12"/>
      <c r="B21" s="15"/>
      <c r="D21" s="15"/>
    </row>
    <row r="22" spans="1:11" ht="13" x14ac:dyDescent="0.3">
      <c r="A22" s="16"/>
      <c r="B22" s="3" t="s">
        <v>20</v>
      </c>
      <c r="C22" s="3" t="s">
        <v>18</v>
      </c>
      <c r="D22" s="3" t="s">
        <v>19</v>
      </c>
      <c r="E22" s="3" t="s">
        <v>41</v>
      </c>
      <c r="F22" s="45" t="s">
        <v>42</v>
      </c>
      <c r="G22" s="46"/>
      <c r="H22" s="46"/>
      <c r="I22" s="47"/>
    </row>
    <row r="23" spans="1:11" ht="13" x14ac:dyDescent="0.3">
      <c r="A23" s="17" t="s">
        <v>14</v>
      </c>
      <c r="B23" s="18">
        <f>XIRR(B26:B29,A26:A29)</f>
        <v>0.10247843861579897</v>
      </c>
      <c r="C23" s="19">
        <v>0.10249999999999999</v>
      </c>
      <c r="D23" s="16">
        <f>C23*100</f>
        <v>10.25</v>
      </c>
      <c r="E23" s="25">
        <f>SUM(E27:E29)</f>
        <v>1000000</v>
      </c>
      <c r="F23" s="48"/>
      <c r="G23" s="49"/>
      <c r="H23" s="49"/>
      <c r="I23" s="50"/>
      <c r="K23" s="2"/>
    </row>
    <row r="24" spans="1:11" x14ac:dyDescent="0.25">
      <c r="A24" s="16"/>
      <c r="B24" s="16"/>
      <c r="C24" s="16"/>
      <c r="D24" s="16"/>
      <c r="E24" s="16"/>
      <c r="J24" s="11"/>
    </row>
    <row r="25" spans="1:11" x14ac:dyDescent="0.25">
      <c r="A25" s="16"/>
      <c r="B25" s="16" t="s">
        <v>24</v>
      </c>
      <c r="C25" s="16" t="s">
        <v>21</v>
      </c>
      <c r="D25" s="16" t="s">
        <v>17</v>
      </c>
      <c r="E25" s="16" t="s">
        <v>25</v>
      </c>
      <c r="F25" s="20"/>
      <c r="G25" s="21"/>
      <c r="H25" s="21"/>
      <c r="J25" s="22"/>
    </row>
    <row r="26" spans="1:11" x14ac:dyDescent="0.25">
      <c r="A26" s="23">
        <f>B15</f>
        <v>41846</v>
      </c>
      <c r="B26" s="24">
        <f>-(B16-B17+B18)</f>
        <v>-1000000</v>
      </c>
      <c r="C26" s="16"/>
      <c r="D26" s="16"/>
      <c r="E26" s="25"/>
      <c r="F26" s="20"/>
      <c r="G26" s="21"/>
      <c r="H26" s="26"/>
      <c r="I26" s="10"/>
      <c r="J26" s="13"/>
    </row>
    <row r="27" spans="1:11" x14ac:dyDescent="0.25">
      <c r="A27" s="23">
        <f>EDATE($B$4,6)</f>
        <v>42030</v>
      </c>
      <c r="B27" s="24">
        <f>$B$16*$B$9*DAYS360(B4,A27,TRUE)/360</f>
        <v>50000</v>
      </c>
      <c r="C27" s="16">
        <f>DAYS360($A$26,A27,TRUE)</f>
        <v>180</v>
      </c>
      <c r="D27" s="16">
        <f>C27/360</f>
        <v>0.5</v>
      </c>
      <c r="E27" s="25">
        <f t="shared" ref="E27:E29" si="0">B27*(1/((1+$C$23)^D27))</f>
        <v>47619.047619047618</v>
      </c>
      <c r="F27" s="20"/>
      <c r="G27" s="21"/>
      <c r="H27" s="26"/>
      <c r="I27" s="10"/>
      <c r="J27" s="13"/>
    </row>
    <row r="28" spans="1:11" x14ac:dyDescent="0.25">
      <c r="A28" s="23">
        <f t="shared" ref="A28" si="1">EDATE(A27,6)</f>
        <v>42211</v>
      </c>
      <c r="B28" s="24">
        <f>$B$16*$B$9*DAYS360(A27,A28,TRUE)/360</f>
        <v>50000</v>
      </c>
      <c r="C28" s="16">
        <f>DAYS360($A$26,A28,TRUE)</f>
        <v>360</v>
      </c>
      <c r="D28" s="16">
        <f>C28/360</f>
        <v>1</v>
      </c>
      <c r="E28" s="25">
        <f t="shared" si="0"/>
        <v>45351.473922902493</v>
      </c>
      <c r="F28" s="20"/>
      <c r="G28" s="21"/>
      <c r="H28" s="26"/>
      <c r="I28" s="10"/>
      <c r="J28" s="13"/>
    </row>
    <row r="29" spans="1:11" x14ac:dyDescent="0.25">
      <c r="A29" s="23">
        <f>$B$5</f>
        <v>42211</v>
      </c>
      <c r="B29" s="24">
        <f>B16</f>
        <v>1000000</v>
      </c>
      <c r="C29" s="16">
        <f t="shared" ref="C29" si="2">DAYS360($A$26,A29,TRUE)</f>
        <v>360</v>
      </c>
      <c r="D29" s="16">
        <f t="shared" ref="D29" si="3">C29/360</f>
        <v>1</v>
      </c>
      <c r="E29" s="25">
        <f t="shared" si="0"/>
        <v>907029.47845804982</v>
      </c>
      <c r="F29" s="20"/>
      <c r="G29" s="21"/>
      <c r="H29" s="26"/>
      <c r="I29" s="10"/>
    </row>
    <row r="30" spans="1:11" x14ac:dyDescent="0.25">
      <c r="A30" s="27"/>
    </row>
    <row r="31" spans="1:11" x14ac:dyDescent="0.25">
      <c r="A31" s="21"/>
    </row>
    <row r="32" spans="1:11" ht="65" x14ac:dyDescent="0.3">
      <c r="A32" s="42"/>
      <c r="B32" s="42" t="s">
        <v>15</v>
      </c>
      <c r="C32" s="42" t="s">
        <v>24</v>
      </c>
      <c r="D32" s="42" t="s">
        <v>26</v>
      </c>
      <c r="E32" s="42" t="s">
        <v>27</v>
      </c>
      <c r="F32" s="42" t="s">
        <v>28</v>
      </c>
      <c r="G32" s="42" t="s">
        <v>29</v>
      </c>
      <c r="H32" s="42" t="s">
        <v>30</v>
      </c>
      <c r="I32" s="42" t="s">
        <v>33</v>
      </c>
      <c r="J32" s="42" t="s">
        <v>36</v>
      </c>
    </row>
    <row r="33" spans="1:10" x14ac:dyDescent="0.25">
      <c r="A33" s="33"/>
      <c r="B33" s="33"/>
      <c r="C33" s="33"/>
      <c r="D33" s="33"/>
      <c r="E33" s="33"/>
      <c r="F33" s="33"/>
      <c r="G33" s="33"/>
      <c r="H33" s="33"/>
      <c r="I33" s="32"/>
      <c r="J33" s="32"/>
    </row>
    <row r="34" spans="1:10" ht="13" x14ac:dyDescent="0.3">
      <c r="A34" s="1" t="s">
        <v>22</v>
      </c>
      <c r="B34" s="23">
        <v>41847</v>
      </c>
      <c r="C34" s="16"/>
      <c r="D34" s="28"/>
      <c r="E34" s="16"/>
      <c r="F34" s="16"/>
      <c r="G34" s="16"/>
      <c r="H34" s="16"/>
      <c r="I34" s="33"/>
      <c r="J34" s="33"/>
    </row>
    <row r="35" spans="1:10" ht="13" x14ac:dyDescent="0.3">
      <c r="A35" s="1" t="s">
        <v>23</v>
      </c>
      <c r="B35" s="23">
        <f>EDATE($B$4,6)</f>
        <v>42030</v>
      </c>
      <c r="C35" s="25">
        <f>$B$19*$B$9*DAYS360($B$4,B35,TRUE)/360</f>
        <v>50000</v>
      </c>
      <c r="D35" s="28">
        <f>DAYS360($B$34,B35,TRUE)</f>
        <v>179</v>
      </c>
      <c r="E35" s="29">
        <f>1+$C$23</f>
        <v>1.1025</v>
      </c>
      <c r="F35" s="16">
        <f>D35/360</f>
        <v>0.49722222222222223</v>
      </c>
      <c r="G35" s="30">
        <f>E35^F35</f>
        <v>1.0497154292781212</v>
      </c>
      <c r="H35" s="29">
        <f>C35/G35</f>
        <v>47631.956819368177</v>
      </c>
      <c r="I35" s="33"/>
      <c r="J35" s="33"/>
    </row>
    <row r="36" spans="1:10" ht="13" x14ac:dyDescent="0.3">
      <c r="A36" s="4">
        <v>41846</v>
      </c>
      <c r="B36" s="23">
        <f>EDATE(B35,6)</f>
        <v>42211</v>
      </c>
      <c r="C36" s="25">
        <f>$B$19*$B$9*DAYS360(B35,B36,TRUE)/360</f>
        <v>50000</v>
      </c>
      <c r="D36" s="28">
        <f>DAYS360($B$34,B36,TRUE)</f>
        <v>359</v>
      </c>
      <c r="E36" s="29">
        <f>1+$C$23</f>
        <v>1.1025</v>
      </c>
      <c r="F36" s="16">
        <f>D36/360</f>
        <v>0.99722222222222223</v>
      </c>
      <c r="G36" s="31">
        <f t="shared" ref="G36:G37" si="4">E36^F36</f>
        <v>1.1022012007420274</v>
      </c>
      <c r="H36" s="29">
        <f t="shared" ref="H36:H37" si="5">C36/G36</f>
        <v>45363.768399398257</v>
      </c>
      <c r="I36" s="25">
        <f>ROUND(($B$16*$B$9*DAYS360(B$4,B34,TRUE)/360),2)</f>
        <v>277.77999999999997</v>
      </c>
      <c r="J36" s="25">
        <f>ROUND((SUM(H35:H37)),2)-I36</f>
        <v>999993.30999999994</v>
      </c>
    </row>
    <row r="37" spans="1:10" ht="13" x14ac:dyDescent="0.3">
      <c r="A37" s="1"/>
      <c r="B37" s="23">
        <f>$B$5</f>
        <v>42211</v>
      </c>
      <c r="C37" s="25">
        <f>$B$19</f>
        <v>1000000</v>
      </c>
      <c r="D37" s="28">
        <f t="shared" ref="D37" si="6">DAYS360($B$34,B37,TRUE)</f>
        <v>359</v>
      </c>
      <c r="E37" s="29">
        <f t="shared" ref="E37" si="7">1+$C$23</f>
        <v>1.1025</v>
      </c>
      <c r="F37" s="16">
        <f t="shared" ref="F37" si="8">D37/360</f>
        <v>0.99722222222222223</v>
      </c>
      <c r="G37" s="30">
        <f t="shared" si="4"/>
        <v>1.1022012007420274</v>
      </c>
      <c r="H37" s="29">
        <f t="shared" si="5"/>
        <v>907275.36798796512</v>
      </c>
      <c r="I37" s="33"/>
      <c r="J37" s="33"/>
    </row>
    <row r="38" spans="1:10" ht="13" x14ac:dyDescent="0.3">
      <c r="A38" s="33"/>
      <c r="B38" s="33"/>
      <c r="C38" s="5" t="s">
        <v>40</v>
      </c>
      <c r="D38" s="6">
        <f>J36-$B$20</f>
        <v>-6.690000000060536</v>
      </c>
      <c r="E38" s="5" t="s">
        <v>38</v>
      </c>
      <c r="F38" s="6">
        <f>B17-D38</f>
        <v>6.690000000060536</v>
      </c>
      <c r="G38" s="33"/>
      <c r="H38" s="33"/>
      <c r="I38" s="33"/>
      <c r="J38" s="33"/>
    </row>
    <row r="39" spans="1:10" ht="13" x14ac:dyDescent="0.3">
      <c r="A39" s="33"/>
      <c r="B39" s="33"/>
      <c r="C39" s="5" t="s">
        <v>37</v>
      </c>
      <c r="D39" s="6">
        <f>I36-B18</f>
        <v>277.77999999999997</v>
      </c>
      <c r="E39" s="33"/>
      <c r="F39" s="33"/>
      <c r="G39" s="33"/>
      <c r="H39" s="33"/>
      <c r="I39" s="33"/>
      <c r="J39" s="33"/>
    </row>
    <row r="40" spans="1:10" x14ac:dyDescent="0.25">
      <c r="E40" s="14"/>
    </row>
    <row r="41" spans="1:10" ht="65" x14ac:dyDescent="0.3">
      <c r="A41" s="42"/>
      <c r="B41" s="42" t="s">
        <v>15</v>
      </c>
      <c r="C41" s="42" t="s">
        <v>24</v>
      </c>
      <c r="D41" s="42" t="s">
        <v>26</v>
      </c>
      <c r="E41" s="42" t="s">
        <v>27</v>
      </c>
      <c r="F41" s="42" t="s">
        <v>28</v>
      </c>
      <c r="G41" s="42" t="s">
        <v>29</v>
      </c>
      <c r="H41" s="42" t="s">
        <v>30</v>
      </c>
      <c r="I41" s="42" t="s">
        <v>33</v>
      </c>
      <c r="J41" s="42" t="s">
        <v>36</v>
      </c>
    </row>
    <row r="42" spans="1:10" x14ac:dyDescent="0.25">
      <c r="A42" s="33"/>
      <c r="B42" s="33"/>
      <c r="C42" s="33"/>
      <c r="D42" s="33"/>
      <c r="E42" s="33"/>
      <c r="F42" s="33"/>
      <c r="G42" s="33"/>
      <c r="H42" s="33"/>
      <c r="I42" s="32"/>
      <c r="J42" s="32"/>
    </row>
    <row r="43" spans="1:10" ht="13" x14ac:dyDescent="0.3">
      <c r="A43" s="1" t="s">
        <v>22</v>
      </c>
      <c r="B43" s="23">
        <v>41848</v>
      </c>
      <c r="C43" s="16"/>
      <c r="D43" s="28"/>
      <c r="E43" s="16"/>
      <c r="F43" s="16"/>
      <c r="G43" s="16"/>
      <c r="H43" s="16"/>
      <c r="I43" s="33"/>
      <c r="J43" s="33"/>
    </row>
    <row r="44" spans="1:10" ht="13" x14ac:dyDescent="0.3">
      <c r="A44" s="1" t="s">
        <v>23</v>
      </c>
      <c r="B44" s="23">
        <f>EDATE($B$4,6)</f>
        <v>42030</v>
      </c>
      <c r="C44" s="25">
        <f>$B$19*$B$9*DAYS360($B$4,B44,TRUE)/360</f>
        <v>50000</v>
      </c>
      <c r="D44" s="28">
        <f>DAYS360($B$43,B44,TRUE)</f>
        <v>178</v>
      </c>
      <c r="E44" s="29">
        <f>1+$C$23</f>
        <v>1.1025</v>
      </c>
      <c r="F44" s="16">
        <f>D44/360</f>
        <v>0.49444444444444446</v>
      </c>
      <c r="G44" s="30">
        <f>E44^F44</f>
        <v>1.0494309356805243</v>
      </c>
      <c r="H44" s="29">
        <f>C44/G44</f>
        <v>47644.869519285239</v>
      </c>
      <c r="I44" s="33"/>
      <c r="J44" s="33"/>
    </row>
    <row r="45" spans="1:10" ht="13" x14ac:dyDescent="0.3">
      <c r="A45" s="4">
        <v>41847</v>
      </c>
      <c r="B45" s="23">
        <f>EDATE(B44,6)</f>
        <v>42211</v>
      </c>
      <c r="C45" s="25">
        <f>$B$19*$B$9*DAYS360(B44,B45,TRUE)/360</f>
        <v>50000</v>
      </c>
      <c r="D45" s="28">
        <f>DAYS360($B$43,B45,TRUE)</f>
        <v>358</v>
      </c>
      <c r="E45" s="29">
        <f>1+$C$23</f>
        <v>1.1025</v>
      </c>
      <c r="F45" s="16">
        <f>D45/360</f>
        <v>0.99444444444444446</v>
      </c>
      <c r="G45" s="31">
        <f t="shared" ref="G45:G46" si="9">E45^F45</f>
        <v>1.1019024824645505</v>
      </c>
      <c r="H45" s="29">
        <f t="shared" ref="H45:H46" si="10">C45/G45</f>
        <v>45376.066208843084</v>
      </c>
      <c r="I45" s="25">
        <f>ROUND(($B$16*$B$9*DAYS360(B$4,B43,TRUE)/360),2)</f>
        <v>555.55999999999995</v>
      </c>
      <c r="J45" s="25">
        <f>ROUND((SUM(H44:H46)),2)-I45</f>
        <v>999986.7</v>
      </c>
    </row>
    <row r="46" spans="1:10" ht="13" x14ac:dyDescent="0.3">
      <c r="A46" s="1"/>
      <c r="B46" s="23">
        <f>$B$5</f>
        <v>42211</v>
      </c>
      <c r="C46" s="25">
        <f>$B$19</f>
        <v>1000000</v>
      </c>
      <c r="D46" s="28">
        <f>DAYS360($B$43,B46,TRUE)</f>
        <v>358</v>
      </c>
      <c r="E46" s="29">
        <f t="shared" ref="E46" si="11">1+$C$23</f>
        <v>1.1025</v>
      </c>
      <c r="F46" s="16">
        <f t="shared" ref="F46" si="12">D46/360</f>
        <v>0.99444444444444446</v>
      </c>
      <c r="G46" s="30">
        <f t="shared" si="9"/>
        <v>1.1019024824645505</v>
      </c>
      <c r="H46" s="29">
        <f t="shared" si="10"/>
        <v>907521.32417686167</v>
      </c>
      <c r="I46" s="33"/>
      <c r="J46" s="33"/>
    </row>
    <row r="47" spans="1:10" ht="13" x14ac:dyDescent="0.3">
      <c r="A47" s="33"/>
      <c r="B47" s="33"/>
      <c r="C47" s="5" t="s">
        <v>40</v>
      </c>
      <c r="D47" s="6">
        <f>J45-$B$20-D38</f>
        <v>-6.6099999999860302</v>
      </c>
      <c r="E47" s="5" t="s">
        <v>38</v>
      </c>
      <c r="F47" s="6">
        <f>F38-D47</f>
        <v>13.300000000046566</v>
      </c>
      <c r="G47" s="33"/>
      <c r="H47" s="33"/>
      <c r="I47" s="33"/>
      <c r="J47" s="33"/>
    </row>
    <row r="48" spans="1:10" ht="13" x14ac:dyDescent="0.3">
      <c r="A48" s="33"/>
      <c r="B48" s="33"/>
      <c r="C48" s="5" t="s">
        <v>37</v>
      </c>
      <c r="D48" s="6">
        <f>I45-D39-B18</f>
        <v>277.77999999999997</v>
      </c>
      <c r="E48" s="33"/>
      <c r="F48" s="33"/>
      <c r="G48" s="33"/>
      <c r="H48" s="33"/>
      <c r="I48" s="33"/>
      <c r="J48" s="33"/>
    </row>
  </sheetData>
  <mergeCells count="1">
    <mergeCell ref="F22:I23"/>
  </mergeCells>
  <pageMargins left="0.7" right="0.7" top="0.75" bottom="0.75" header="0.3" footer="0.3"/>
  <headerFooter>
    <oddFooter>&amp;L_x000D_&amp;1#&amp;"Calibri"&amp;10&amp;K000000 Confidential – Oracle Internal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abSelected="1" zoomScaleNormal="100" workbookViewId="0">
      <selection activeCell="A51" sqref="A51:XFD95"/>
    </sheetView>
  </sheetViews>
  <sheetFormatPr defaultColWidth="9.1796875" defaultRowHeight="12.5" x14ac:dyDescent="0.25"/>
  <cols>
    <col min="1" max="1" width="22.54296875" style="7" bestFit="1" customWidth="1"/>
    <col min="2" max="2" width="17.81640625" style="7" bestFit="1" customWidth="1"/>
    <col min="3" max="3" width="33.453125" style="7" bestFit="1" customWidth="1"/>
    <col min="4" max="4" width="24" style="7" bestFit="1" customWidth="1"/>
    <col min="5" max="5" width="28.1796875" style="7" bestFit="1" customWidth="1"/>
    <col min="6" max="6" width="12" style="7" bestFit="1" customWidth="1"/>
    <col min="7" max="7" width="22.36328125" style="7" bestFit="1" customWidth="1"/>
    <col min="8" max="8" width="16.6328125" style="7" bestFit="1" customWidth="1"/>
    <col min="9" max="9" width="9.90625" style="7" bestFit="1" customWidth="1"/>
    <col min="10" max="10" width="11.54296875" style="7" bestFit="1" customWidth="1"/>
    <col min="11" max="11" width="11" style="7" bestFit="1" customWidth="1"/>
    <col min="12" max="16384" width="9.1796875" style="7"/>
  </cols>
  <sheetData>
    <row r="1" spans="1:10" ht="13" x14ac:dyDescent="0.3">
      <c r="A1" s="3" t="s">
        <v>0</v>
      </c>
      <c r="B1" s="16"/>
    </row>
    <row r="2" spans="1:10" x14ac:dyDescent="0.25">
      <c r="A2" s="16" t="s">
        <v>1</v>
      </c>
      <c r="B2" s="37"/>
    </row>
    <row r="3" spans="1:10" x14ac:dyDescent="0.25">
      <c r="A3" s="16" t="s">
        <v>2</v>
      </c>
      <c r="B3" s="37">
        <v>1000</v>
      </c>
    </row>
    <row r="4" spans="1:10" x14ac:dyDescent="0.25">
      <c r="A4" s="16" t="s">
        <v>3</v>
      </c>
      <c r="B4" s="38">
        <v>41821</v>
      </c>
    </row>
    <row r="5" spans="1:10" x14ac:dyDescent="0.25">
      <c r="A5" s="16" t="s">
        <v>4</v>
      </c>
      <c r="B5" s="38">
        <v>42186</v>
      </c>
    </row>
    <row r="6" spans="1:10" x14ac:dyDescent="0.25">
      <c r="A6" s="16" t="s">
        <v>5</v>
      </c>
      <c r="B6" s="37">
        <v>1000</v>
      </c>
    </row>
    <row r="7" spans="1:10" x14ac:dyDescent="0.25">
      <c r="A7" s="16" t="s">
        <v>6</v>
      </c>
      <c r="B7" s="37">
        <v>360</v>
      </c>
    </row>
    <row r="8" spans="1:10" x14ac:dyDescent="0.25">
      <c r="A8" s="16" t="s">
        <v>7</v>
      </c>
      <c r="B8" s="38">
        <v>41821</v>
      </c>
    </row>
    <row r="9" spans="1:10" x14ac:dyDescent="0.25">
      <c r="A9" s="34" t="s">
        <v>32</v>
      </c>
      <c r="B9" s="39">
        <v>0.1</v>
      </c>
    </row>
    <row r="10" spans="1:10" x14ac:dyDescent="0.25">
      <c r="A10" s="36" t="s">
        <v>8</v>
      </c>
      <c r="B10" s="38"/>
    </row>
    <row r="11" spans="1:10" x14ac:dyDescent="0.25">
      <c r="A11" s="16" t="s">
        <v>9</v>
      </c>
      <c r="B11" s="37" t="s">
        <v>16</v>
      </c>
    </row>
    <row r="12" spans="1:10" ht="13" x14ac:dyDescent="0.3">
      <c r="A12" s="2" t="s">
        <v>10</v>
      </c>
      <c r="F12" s="8"/>
      <c r="G12" s="8"/>
    </row>
    <row r="13" spans="1:10" x14ac:dyDescent="0.25">
      <c r="A13" s="34" t="s">
        <v>11</v>
      </c>
      <c r="B13" s="24">
        <v>996</v>
      </c>
      <c r="D13" s="9"/>
    </row>
    <row r="14" spans="1:10" x14ac:dyDescent="0.25">
      <c r="A14" s="16" t="s">
        <v>12</v>
      </c>
      <c r="B14" s="24">
        <v>1000</v>
      </c>
    </row>
    <row r="15" spans="1:10" ht="13" x14ac:dyDescent="0.3">
      <c r="A15" s="16" t="s">
        <v>13</v>
      </c>
      <c r="B15" s="35">
        <v>41846</v>
      </c>
      <c r="I15" s="10"/>
    </row>
    <row r="16" spans="1:10" ht="13" x14ac:dyDescent="0.3">
      <c r="A16" s="3" t="s">
        <v>31</v>
      </c>
      <c r="B16" s="24">
        <f>B14*$B$3</f>
        <v>1000000</v>
      </c>
      <c r="C16" s="9"/>
      <c r="I16" s="10"/>
      <c r="J16" s="11"/>
    </row>
    <row r="17" spans="1:11" ht="13" x14ac:dyDescent="0.3">
      <c r="A17" s="3" t="s">
        <v>39</v>
      </c>
      <c r="B17" s="24">
        <f>B16-(B14*B13-B18)</f>
        <v>10944.444444444496</v>
      </c>
      <c r="I17" s="10"/>
      <c r="J17" s="11"/>
    </row>
    <row r="18" spans="1:11" ht="13" x14ac:dyDescent="0.3">
      <c r="A18" s="41" t="s">
        <v>34</v>
      </c>
      <c r="B18" s="24">
        <f>B16*$B$9*(DAYS360($B$8,B15,TRUE))/360</f>
        <v>6944.4444444444443</v>
      </c>
      <c r="I18" s="10"/>
      <c r="J18" s="11"/>
    </row>
    <row r="19" spans="1:11" x14ac:dyDescent="0.25">
      <c r="A19" s="40" t="s">
        <v>35</v>
      </c>
      <c r="B19" s="24">
        <f>B16</f>
        <v>1000000</v>
      </c>
      <c r="I19" s="10"/>
      <c r="J19" s="11"/>
    </row>
    <row r="20" spans="1:11" x14ac:dyDescent="0.25">
      <c r="A20" s="43" t="s">
        <v>43</v>
      </c>
      <c r="B20" s="44">
        <f>E23-B18</f>
        <v>989055.55569429649</v>
      </c>
      <c r="I20" s="10"/>
      <c r="J20" s="11"/>
    </row>
    <row r="21" spans="1:11" x14ac:dyDescent="0.25">
      <c r="A21" s="12"/>
      <c r="B21" s="15"/>
      <c r="D21" s="15"/>
    </row>
    <row r="22" spans="1:11" ht="13" x14ac:dyDescent="0.3">
      <c r="A22" s="16"/>
      <c r="B22" s="3" t="s">
        <v>20</v>
      </c>
      <c r="C22" s="3" t="s">
        <v>18</v>
      </c>
      <c r="D22" s="3" t="s">
        <v>19</v>
      </c>
      <c r="E22" s="3" t="s">
        <v>41</v>
      </c>
      <c r="F22" s="45" t="s">
        <v>42</v>
      </c>
      <c r="G22" s="46"/>
      <c r="H22" s="46"/>
      <c r="I22" s="47"/>
    </row>
    <row r="23" spans="1:11" ht="13" x14ac:dyDescent="0.3">
      <c r="A23" s="17" t="s">
        <v>14</v>
      </c>
      <c r="B23" s="18">
        <f>XIRR(B26:B29,A26:A29)</f>
        <v>0.11553745865821841</v>
      </c>
      <c r="C23" s="19">
        <v>0.11569192</v>
      </c>
      <c r="D23" s="16">
        <f>C23*100</f>
        <v>11.569192000000001</v>
      </c>
      <c r="E23" s="25">
        <f>SUM(E27:E29)</f>
        <v>996000.00013874099</v>
      </c>
      <c r="F23" s="48"/>
      <c r="G23" s="49"/>
      <c r="H23" s="49"/>
      <c r="I23" s="50"/>
      <c r="K23" s="2"/>
    </row>
    <row r="24" spans="1:11" x14ac:dyDescent="0.25">
      <c r="A24" s="16"/>
      <c r="B24" s="16"/>
      <c r="C24" s="16"/>
      <c r="D24" s="16"/>
      <c r="E24" s="16"/>
      <c r="J24" s="11"/>
    </row>
    <row r="25" spans="1:11" x14ac:dyDescent="0.25">
      <c r="A25" s="16"/>
      <c r="B25" s="16" t="s">
        <v>24</v>
      </c>
      <c r="C25" s="16" t="s">
        <v>21</v>
      </c>
      <c r="D25" s="16" t="s">
        <v>17</v>
      </c>
      <c r="E25" s="16" t="s">
        <v>25</v>
      </c>
      <c r="F25" s="20"/>
      <c r="G25" s="21"/>
      <c r="H25" s="21"/>
      <c r="J25" s="22"/>
    </row>
    <row r="26" spans="1:11" x14ac:dyDescent="0.25">
      <c r="A26" s="23">
        <f>B15</f>
        <v>41846</v>
      </c>
      <c r="B26" s="24">
        <f>-(B16-B17+B18)</f>
        <v>-996000</v>
      </c>
      <c r="C26" s="16"/>
      <c r="D26" s="16"/>
      <c r="E26" s="25"/>
      <c r="F26" s="20"/>
      <c r="G26" s="21"/>
      <c r="H26" s="26"/>
      <c r="I26" s="10"/>
      <c r="J26" s="13"/>
    </row>
    <row r="27" spans="1:11" x14ac:dyDescent="0.25">
      <c r="A27" s="23">
        <f>EDATE($B$4,6)</f>
        <v>42005</v>
      </c>
      <c r="B27" s="24">
        <f>$B$16*$B$9*DAYS360(B4,A27,TRUE)/360</f>
        <v>50000</v>
      </c>
      <c r="C27" s="16">
        <f>DAYS360($A$26,A27,TRUE)</f>
        <v>155</v>
      </c>
      <c r="D27" s="16">
        <f>C27/360</f>
        <v>0.43055555555555558</v>
      </c>
      <c r="E27" s="25">
        <f t="shared" ref="E27:E29" si="0">B27*(1/((1+$C$23)^D27))</f>
        <v>47697.931666127603</v>
      </c>
      <c r="F27" s="20"/>
      <c r="G27" s="21"/>
      <c r="H27" s="26"/>
      <c r="I27" s="10"/>
      <c r="J27" s="13"/>
    </row>
    <row r="28" spans="1:11" x14ac:dyDescent="0.25">
      <c r="A28" s="23">
        <f t="shared" ref="A28" si="1">EDATE(A27,6)</f>
        <v>42186</v>
      </c>
      <c r="B28" s="24">
        <f>$B$16*$B$9*DAYS360(A27,A28,TRUE)/360</f>
        <v>50000</v>
      </c>
      <c r="C28" s="16">
        <f>DAYS360($A$26,A28,TRUE)</f>
        <v>335</v>
      </c>
      <c r="D28" s="16">
        <f>C28/360</f>
        <v>0.93055555555555558</v>
      </c>
      <c r="E28" s="25">
        <f t="shared" si="0"/>
        <v>45157.241355838727</v>
      </c>
      <c r="F28" s="20"/>
      <c r="G28" s="21"/>
      <c r="H28" s="26"/>
      <c r="I28" s="10"/>
      <c r="J28" s="13"/>
    </row>
    <row r="29" spans="1:11" x14ac:dyDescent="0.25">
      <c r="A29" s="23">
        <f>$B$5</f>
        <v>42186</v>
      </c>
      <c r="B29" s="24">
        <f>B16</f>
        <v>1000000</v>
      </c>
      <c r="C29" s="16">
        <f t="shared" ref="C29" si="2">DAYS360($A$26,A29,TRUE)</f>
        <v>335</v>
      </c>
      <c r="D29" s="16">
        <f t="shared" ref="D29" si="3">C29/360</f>
        <v>0.93055555555555558</v>
      </c>
      <c r="E29" s="25">
        <f t="shared" si="0"/>
        <v>903144.82711677463</v>
      </c>
      <c r="F29" s="20"/>
      <c r="G29" s="21"/>
      <c r="H29" s="26"/>
      <c r="I29" s="10"/>
    </row>
    <row r="30" spans="1:11" x14ac:dyDescent="0.25">
      <c r="A30" s="27"/>
    </row>
    <row r="31" spans="1:11" x14ac:dyDescent="0.25">
      <c r="A31" s="21"/>
    </row>
    <row r="32" spans="1:11" ht="65" x14ac:dyDescent="0.3">
      <c r="A32" s="42"/>
      <c r="B32" s="42" t="s">
        <v>15</v>
      </c>
      <c r="C32" s="42" t="s">
        <v>24</v>
      </c>
      <c r="D32" s="42" t="s">
        <v>26</v>
      </c>
      <c r="E32" s="42" t="s">
        <v>27</v>
      </c>
      <c r="F32" s="42" t="s">
        <v>28</v>
      </c>
      <c r="G32" s="42" t="s">
        <v>29</v>
      </c>
      <c r="H32" s="42" t="s">
        <v>30</v>
      </c>
      <c r="I32" s="42" t="s">
        <v>33</v>
      </c>
      <c r="J32" s="42" t="s">
        <v>36</v>
      </c>
    </row>
    <row r="33" spans="1:10" x14ac:dyDescent="0.25">
      <c r="A33" s="33"/>
      <c r="B33" s="33"/>
      <c r="C33" s="33"/>
      <c r="D33" s="33"/>
      <c r="E33" s="33"/>
      <c r="F33" s="33"/>
      <c r="G33" s="33"/>
      <c r="H33" s="33"/>
      <c r="I33" s="32"/>
      <c r="J33" s="32"/>
    </row>
    <row r="34" spans="1:10" ht="13" x14ac:dyDescent="0.3">
      <c r="A34" s="1" t="s">
        <v>22</v>
      </c>
      <c r="B34" s="23">
        <v>41847</v>
      </c>
      <c r="C34" s="16"/>
      <c r="D34" s="28"/>
      <c r="E34" s="16"/>
      <c r="F34" s="16"/>
      <c r="G34" s="16"/>
      <c r="H34" s="16"/>
      <c r="I34" s="33"/>
      <c r="J34" s="33"/>
    </row>
    <row r="35" spans="1:10" ht="13" x14ac:dyDescent="0.3">
      <c r="A35" s="1" t="s">
        <v>23</v>
      </c>
      <c r="B35" s="23">
        <f>EDATE($B$4,6)</f>
        <v>42005</v>
      </c>
      <c r="C35" s="25">
        <f>$B$19*$B$9*DAYS360($B$4,B35,TRUE)/360</f>
        <v>50000</v>
      </c>
      <c r="D35" s="28">
        <f>DAYS360($B$34,B35,TRUE)</f>
        <v>154</v>
      </c>
      <c r="E35" s="29">
        <f>1+$C$23</f>
        <v>1.1156919199999999</v>
      </c>
      <c r="F35" s="16">
        <f>D35/360</f>
        <v>0.42777777777777776</v>
      </c>
      <c r="G35" s="30">
        <f>E35^F35</f>
        <v>1.0479447585391191</v>
      </c>
      <c r="H35" s="29">
        <f>C35/G35</f>
        <v>47712.438649630916</v>
      </c>
      <c r="I35" s="33"/>
      <c r="J35" s="33"/>
    </row>
    <row r="36" spans="1:10" ht="13" x14ac:dyDescent="0.3">
      <c r="A36" s="4">
        <v>41846</v>
      </c>
      <c r="B36" s="23">
        <f>EDATE(B35,6)</f>
        <v>42186</v>
      </c>
      <c r="C36" s="25">
        <f>$B$19*$B$9*DAYS360(B35,B36,TRUE)/360</f>
        <v>50000</v>
      </c>
      <c r="D36" s="28">
        <f>DAYS360($B$34,B36,TRUE)</f>
        <v>334</v>
      </c>
      <c r="E36" s="29">
        <f>1+$C$23</f>
        <v>1.1156919199999999</v>
      </c>
      <c r="F36" s="16">
        <f>D36/360</f>
        <v>0.92777777777777781</v>
      </c>
      <c r="G36" s="31">
        <f t="shared" ref="G36:G37" si="4">E36^F36</f>
        <v>1.1069054703496093</v>
      </c>
      <c r="H36" s="29">
        <f t="shared" ref="H36:H37" si="5">C36/G36</f>
        <v>45170.975606623215</v>
      </c>
      <c r="I36" s="25">
        <f>ROUND(($B$16*$B$9*DAYS360(B$4,B34,TRUE)/360),2)</f>
        <v>7222.22</v>
      </c>
      <c r="J36" s="25">
        <f>ROUND((SUM(H35:H37)),2)-I36</f>
        <v>989080.71000000008</v>
      </c>
    </row>
    <row r="37" spans="1:10" ht="13" x14ac:dyDescent="0.3">
      <c r="A37" s="1"/>
      <c r="B37" s="23">
        <f>$B$5</f>
        <v>42186</v>
      </c>
      <c r="C37" s="25">
        <f>$B$19</f>
        <v>1000000</v>
      </c>
      <c r="D37" s="28">
        <f t="shared" ref="D37" si="6">DAYS360($B$34,B37,TRUE)</f>
        <v>334</v>
      </c>
      <c r="E37" s="29">
        <f t="shared" ref="E37" si="7">1+$C$23</f>
        <v>1.1156919199999999</v>
      </c>
      <c r="F37" s="16">
        <f t="shared" ref="F37" si="8">D37/360</f>
        <v>0.92777777777777781</v>
      </c>
      <c r="G37" s="30">
        <f t="shared" si="4"/>
        <v>1.1069054703496093</v>
      </c>
      <c r="H37" s="29">
        <f t="shared" si="5"/>
        <v>903419.51213246433</v>
      </c>
      <c r="I37" s="33"/>
      <c r="J37" s="33"/>
    </row>
    <row r="38" spans="1:10" ht="13" x14ac:dyDescent="0.3">
      <c r="A38" s="33"/>
      <c r="B38" s="33"/>
      <c r="C38" s="5" t="s">
        <v>40</v>
      </c>
      <c r="D38" s="6">
        <f>J36-$B$20</f>
        <v>25.154305703588761</v>
      </c>
      <c r="E38" s="5" t="s">
        <v>38</v>
      </c>
      <c r="F38" s="6">
        <f>B17-D38</f>
        <v>10919.290138740907</v>
      </c>
      <c r="G38" s="33"/>
      <c r="H38" s="33"/>
      <c r="I38" s="33"/>
      <c r="J38" s="33"/>
    </row>
    <row r="39" spans="1:10" ht="13" x14ac:dyDescent="0.3">
      <c r="A39" s="33"/>
      <c r="B39" s="33"/>
      <c r="C39" s="5" t="s">
        <v>37</v>
      </c>
      <c r="D39" s="6">
        <f>I36-B18</f>
        <v>277.77555555555591</v>
      </c>
      <c r="E39" s="33"/>
      <c r="F39" s="33"/>
      <c r="G39" s="33"/>
      <c r="H39" s="33"/>
      <c r="I39" s="33"/>
      <c r="J39" s="33"/>
    </row>
    <row r="40" spans="1:10" x14ac:dyDescent="0.25">
      <c r="E40" s="14"/>
    </row>
    <row r="41" spans="1:10" ht="65" x14ac:dyDescent="0.3">
      <c r="A41" s="42"/>
      <c r="B41" s="42" t="s">
        <v>15</v>
      </c>
      <c r="C41" s="42" t="s">
        <v>24</v>
      </c>
      <c r="D41" s="42" t="s">
        <v>26</v>
      </c>
      <c r="E41" s="42" t="s">
        <v>27</v>
      </c>
      <c r="F41" s="42" t="s">
        <v>28</v>
      </c>
      <c r="G41" s="42" t="s">
        <v>29</v>
      </c>
      <c r="H41" s="42" t="s">
        <v>30</v>
      </c>
      <c r="I41" s="42" t="s">
        <v>33</v>
      </c>
      <c r="J41" s="42" t="s">
        <v>36</v>
      </c>
    </row>
    <row r="42" spans="1:10" x14ac:dyDescent="0.25">
      <c r="A42" s="33"/>
      <c r="B42" s="33"/>
      <c r="C42" s="33"/>
      <c r="D42" s="33"/>
      <c r="E42" s="33"/>
      <c r="F42" s="33"/>
      <c r="G42" s="33"/>
      <c r="H42" s="33"/>
      <c r="I42" s="32"/>
      <c r="J42" s="32"/>
    </row>
    <row r="43" spans="1:10" ht="13" x14ac:dyDescent="0.3">
      <c r="A43" s="1" t="s">
        <v>22</v>
      </c>
      <c r="B43" s="23">
        <v>41848</v>
      </c>
      <c r="C43" s="16"/>
      <c r="D43" s="28"/>
      <c r="E43" s="16"/>
      <c r="F43" s="16"/>
      <c r="G43" s="16"/>
      <c r="H43" s="16"/>
      <c r="I43" s="33"/>
      <c r="J43" s="33"/>
    </row>
    <row r="44" spans="1:10" ht="13" x14ac:dyDescent="0.3">
      <c r="A44" s="1" t="s">
        <v>23</v>
      </c>
      <c r="B44" s="23">
        <f>EDATE($B$4,6)</f>
        <v>42005</v>
      </c>
      <c r="C44" s="25">
        <f>$B$19*$B$9*DAYS360($B$4,B44,TRUE)/360</f>
        <v>50000</v>
      </c>
      <c r="D44" s="28">
        <f>DAYS360($B$43,B44,TRUE)</f>
        <v>153</v>
      </c>
      <c r="E44" s="29">
        <f>1+$C$23</f>
        <v>1.1156919199999999</v>
      </c>
      <c r="F44" s="16">
        <f>D44/360</f>
        <v>0.42499999999999999</v>
      </c>
      <c r="G44" s="30">
        <f>E44^F44</f>
        <v>1.0476261305721828</v>
      </c>
      <c r="H44" s="29">
        <f>C44/G44</f>
        <v>47726.950045329111</v>
      </c>
      <c r="I44" s="33"/>
      <c r="J44" s="33"/>
    </row>
    <row r="45" spans="1:10" ht="13" x14ac:dyDescent="0.3">
      <c r="A45" s="4">
        <v>41847</v>
      </c>
      <c r="B45" s="23">
        <f>EDATE(B44,6)</f>
        <v>42186</v>
      </c>
      <c r="C45" s="25">
        <f>$B$19*$B$9*DAYS360(B44,B45,TRUE)/360</f>
        <v>50000</v>
      </c>
      <c r="D45" s="28">
        <f>DAYS360($B$43,B45,TRUE)</f>
        <v>333</v>
      </c>
      <c r="E45" s="29">
        <f>1+$C$23</f>
        <v>1.1156919199999999</v>
      </c>
      <c r="F45" s="16">
        <f>D45/360</f>
        <v>0.92500000000000004</v>
      </c>
      <c r="G45" s="31">
        <f t="shared" ref="G45:G46" si="9">E45^F45</f>
        <v>1.1065689153578175</v>
      </c>
      <c r="H45" s="29">
        <f t="shared" ref="H45:H46" si="10">C45/G45</f>
        <v>45184.714034581491</v>
      </c>
      <c r="I45" s="25">
        <f>ROUND(($B$16*$B$9*DAYS360(B$4,B43,TRUE)/360),2)</f>
        <v>7500</v>
      </c>
      <c r="J45" s="25">
        <f>ROUND((SUM(H44:H46)),2)-I45</f>
        <v>989105.94</v>
      </c>
    </row>
    <row r="46" spans="1:10" ht="13" x14ac:dyDescent="0.3">
      <c r="A46" s="1"/>
      <c r="B46" s="23">
        <f>$B$5</f>
        <v>42186</v>
      </c>
      <c r="C46" s="25">
        <f>$B$19</f>
        <v>1000000</v>
      </c>
      <c r="D46" s="28">
        <f>DAYS360($B$43,B46,TRUE)</f>
        <v>333</v>
      </c>
      <c r="E46" s="29">
        <f t="shared" ref="E46" si="11">1+$C$23</f>
        <v>1.1156919199999999</v>
      </c>
      <c r="F46" s="16">
        <f t="shared" ref="F46" si="12">D46/360</f>
        <v>0.92500000000000004</v>
      </c>
      <c r="G46" s="30">
        <f t="shared" si="9"/>
        <v>1.1065689153578175</v>
      </c>
      <c r="H46" s="29">
        <f t="shared" si="10"/>
        <v>903694.28069162986</v>
      </c>
      <c r="I46" s="33"/>
      <c r="J46" s="33"/>
    </row>
    <row r="47" spans="1:10" ht="13" x14ac:dyDescent="0.3">
      <c r="A47" s="33"/>
      <c r="B47" s="33"/>
      <c r="C47" s="5" t="s">
        <v>40</v>
      </c>
      <c r="D47" s="6">
        <f>J45-$B$20-D38</f>
        <v>25.229999999864958</v>
      </c>
      <c r="E47" s="5" t="s">
        <v>38</v>
      </c>
      <c r="F47" s="6">
        <f>F38-D47</f>
        <v>10894.060138741042</v>
      </c>
      <c r="G47" s="33"/>
      <c r="H47" s="33"/>
      <c r="I47" s="33"/>
      <c r="J47" s="33"/>
    </row>
    <row r="48" spans="1:10" ht="13" x14ac:dyDescent="0.3">
      <c r="A48" s="33"/>
      <c r="B48" s="33"/>
      <c r="C48" s="5" t="s">
        <v>37</v>
      </c>
      <c r="D48" s="6">
        <f>I45-D39-B18</f>
        <v>277.77999999999975</v>
      </c>
      <c r="E48" s="33"/>
      <c r="F48" s="33"/>
      <c r="G48" s="33"/>
      <c r="H48" s="33"/>
      <c r="I48" s="33"/>
      <c r="J48" s="33"/>
    </row>
  </sheetData>
  <mergeCells count="1">
    <mergeCell ref="F22:I23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  <drawing r:id="rId2"/>
</worksheet>
</file>

<file path=docMetadata/LabelInfo.xml><?xml version="1.0" encoding="utf-8"?>
<clbl:labelList xmlns:clbl="http://schemas.microsoft.com/office/2020/mipLabelMetadata">
  <clbl:label id="{a4de43ec-192a-49eb-8e54-baeb8c71bbbe}" enabled="1" method="Standard" siteId="{4e2c6054-71cb-48f1-bd6c-3a9705aca71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 Yield- At Par</vt:lpstr>
      <vt:lpstr>Const Yield- At Discount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kumar.sundar</dc:creator>
  <cp:lastModifiedBy>Afra Mohaseen</cp:lastModifiedBy>
  <dcterms:created xsi:type="dcterms:W3CDTF">2014-08-13T09:17:55Z</dcterms:created>
  <dcterms:modified xsi:type="dcterms:W3CDTF">2025-11-11T07:08:56Z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de43ec-192a-49eb-8e54-baeb8c71bbbe_Enabled">
    <vt:lpwstr>true</vt:lpwstr>
  </property>
  <property fmtid="{D5CDD505-2E9C-101B-9397-08002B2CF9AE}" pid="3" name="MSIP_Label_a4de43ec-192a-49eb-8e54-baeb8c71bbbe_SetDate">
    <vt:lpwstr>2025-10-17T10:29:47Z</vt:lpwstr>
  </property>
  <property fmtid="{D5CDD505-2E9C-101B-9397-08002B2CF9AE}" pid="4" name="MSIP_Label_a4de43ec-192a-49eb-8e54-baeb8c71bbbe_Method">
    <vt:lpwstr>Standard</vt:lpwstr>
  </property>
  <property fmtid="{D5CDD505-2E9C-101B-9397-08002B2CF9AE}" pid="5" name="MSIP_Label_a4de43ec-192a-49eb-8e54-baeb8c71bbbe_Name">
    <vt:lpwstr>Confidential – Oracle Internal</vt:lpwstr>
  </property>
  <property fmtid="{D5CDD505-2E9C-101B-9397-08002B2CF9AE}" pid="6" name="MSIP_Label_a4de43ec-192a-49eb-8e54-baeb8c71bbbe_SiteId">
    <vt:lpwstr>4e2c6054-71cb-48f1-bd6c-3a9705aca71b</vt:lpwstr>
  </property>
  <property fmtid="{D5CDD505-2E9C-101B-9397-08002B2CF9AE}" pid="7" name="MSIP_Label_a4de43ec-192a-49eb-8e54-baeb8c71bbbe_ActionId">
    <vt:lpwstr>2460aea2-b38a-4940-ae8e-3295695ef682</vt:lpwstr>
  </property>
  <property fmtid="{D5CDD505-2E9C-101B-9397-08002B2CF9AE}" pid="8" name="MSIP_Label_a4de43ec-192a-49eb-8e54-baeb8c71bbbe_ContentBits">
    <vt:lpwstr>2</vt:lpwstr>
  </property>
</Properties>
</file>